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лютий" sheetId="1" r:id="rId1"/>
    <sheet name="січень 17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<sst xmlns="http://schemas.openxmlformats.org/spreadsheetml/2006/main" count="277" uniqueCount="139">
  <si>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</si>
  <si>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</si>
  <si>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</si>
  <si>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</si>
  <si>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</si>
  <si>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</si>
  <si>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</si>
  <si>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</si>
  <si>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</si>
  <si>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</si>
  <si>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</si>
  <si>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</si>
  <si>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</si>
  <si>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</si>
  <si>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</si>
  <si>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</si>
  <si>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</si>
  <si>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</si>
  <si>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</si>
  <si>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</si>
  <si>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</si>
  <si>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</si>
  <si>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</si>
  <si>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</si>
  <si>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</si>
  <si>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</si>
  <si>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</si>
  <si>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</si>
  <si>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</si>
  <si>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</si>
  <si>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</si>
  <si>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</si>
  <si>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</si>
  <si>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</si>
  <si>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</si>
  <si>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</si>
  <si>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</si>
  <si>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</si>
  <si>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</si>
  <si>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</si>
  <si>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</si>
  <si>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</si>
  <si>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</si>
  <si>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</si>
  <si>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</si>
  <si>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</si>
  <si>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</si>
  <si>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</si>
  <si>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</si>
  <si>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</si>
  <si>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</si>
  <si>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</si>
  <si>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</si>
  <si>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</si>
  <si>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</si>
  <si>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</si>
  <si>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</si>
  <si>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</si>
  <si>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</si>
  <si>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</si>
  <si>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</si>
  <si>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</si>
  <si>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</si>
  <si>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</si>
  <si>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</si>
  <si>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</si>
  <si>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</si>
  <si>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</si>
  <si>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</si>
  <si>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</si>
  <si>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</si>
  <si>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</si>
  <si>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</si>
  <si>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</si>
  <si>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</si>
  <si>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</si>
  <si>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</si>
  <si>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</si>
  <si>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</si>
  <si>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</si>
  <si>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</si>
  <si>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</si>
  <si>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</si>
  <si>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</si>
  <si>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</si>
  <si>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</si>
  <si>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</si>
  <si>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</si>
  <si>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</si>
  <si>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</si>
  <si>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</si>
  <si>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</si>
  <si>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</si>
  <si>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</si>
  <si>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</si>
  <si>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</si>
  <si>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</si>
  <si>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</si>
  <si>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</si>
  <si>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</si>
  <si>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</si>
  <si>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</si>
  <si>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</si>
  <si>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</si>
  <si>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</si>
  <si>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</si>
  <si>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</si>
  <si>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</si>
  <si>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</si>
  <si>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</si>
  <si>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</si>
  <si>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</si>
  <si>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</si>
  <si>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</si>
  <si>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</si>
  <si>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</si>
  <si>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</si>
  <si>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</si>
  <si>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</si>
  <si>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</si>
  <si>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</si>
  <si>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</si>
  <si>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</si>
  <si>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</si>
  <si>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</si>
  <si>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</si>
  <si>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</si>
  <si>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</si>
  <si>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</si>
  <si>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</si>
  <si>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</si>
  <si>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</si>
  <si>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</si>
  <si>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02.02.17 </t>
    </r>
    <r>
      <rPr>
        <b/>
        <sz val="10"/>
        <rFont val="Times New Roman"/>
        <family val="1"/>
      </rPr>
      <t>включно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</si>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</sst>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7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26" fillId="0" borderId="0">
      <alignment/>
      <protection/>
    </xf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25" fillId="0" borderId="0">
      <alignment/>
      <protection/>
    </xf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72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8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4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4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7" fillId="0" borderId="0" xfId="54" applyNumberFormat="1" applyFont="1" applyFill="1" applyProtection="1">
      <alignment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8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4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4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3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74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6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6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4" fillId="37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4" applyNumberFormat="1" applyFont="1" applyFill="1" applyProtection="1">
      <alignment/>
      <protection/>
    </xf>
    <xf numFmtId="182" fontId="7" fillId="38" borderId="0" xfId="54" applyNumberFormat="1" applyFont="1" applyFill="1" applyBorder="1" applyProtection="1">
      <alignment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74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75" fillId="0" borderId="0" xfId="0" applyFont="1" applyAlignment="1" applyProtection="1">
      <alignment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91" fontId="73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4" applyNumberFormat="1" applyFont="1" applyFill="1" applyProtection="1">
      <alignment/>
      <protection/>
    </xf>
    <xf numFmtId="191" fontId="7" fillId="0" borderId="0" xfId="54" applyNumberFormat="1" applyFont="1" applyProtection="1">
      <alignment/>
      <protection/>
    </xf>
    <xf numFmtId="0" fontId="7" fillId="38" borderId="10" xfId="54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4" applyFont="1" applyFill="1" applyBorder="1" applyAlignment="1" applyProtection="1">
      <alignment vertical="center" wrapText="1"/>
      <protection/>
    </xf>
    <xf numFmtId="0" fontId="7" fillId="38" borderId="10" xfId="54" applyFont="1" applyFill="1" applyBorder="1" applyAlignment="1" applyProtection="1">
      <alignment horizontal="left" wrapText="1"/>
      <protection/>
    </xf>
    <xf numFmtId="0" fontId="7" fillId="38" borderId="10" xfId="54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0" xfId="54" applyFont="1" applyAlignment="1" applyProtection="1">
      <alignment horizontal="center"/>
      <protection/>
    </xf>
    <xf numFmtId="0" fontId="19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7" fillId="0" borderId="0" xfId="54" applyFont="1" applyBorder="1" applyAlignment="1" applyProtection="1">
      <alignment horizontal="center"/>
      <protection/>
    </xf>
    <xf numFmtId="0" fontId="28" fillId="0" borderId="0" xfId="54" applyFont="1" applyAlignment="1" applyProtection="1">
      <alignment horizontal="center"/>
      <protection/>
    </xf>
    <xf numFmtId="0" fontId="28" fillId="0" borderId="0" xfId="54" applyFont="1" applyBorder="1" applyAlignment="1" applyProtection="1">
      <alignment horizontal="center"/>
      <protection/>
    </xf>
    <xf numFmtId="0" fontId="7" fillId="0" borderId="0" xfId="54" applyFont="1" applyAlignment="1" applyProtection="1">
      <alignment horizontal="right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6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4" fillId="0" borderId="17" xfId="54" applyFont="1" applyFill="1" applyBorder="1" applyAlignment="1" applyProtection="1">
      <alignment horizontal="center" vertical="center" wrapText="1"/>
      <protection/>
    </xf>
    <xf numFmtId="0" fontId="24" fillId="0" borderId="18" xfId="54" applyFont="1" applyFill="1" applyBorder="1" applyAlignment="1" applyProtection="1">
      <alignment horizontal="center" vertical="center" wrapText="1"/>
      <protection/>
    </xf>
    <xf numFmtId="0" fontId="24" fillId="0" borderId="19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6" xfId="0" applyNumberFormat="1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6" xfId="59" applyFont="1" applyFill="1" applyBorder="1" applyAlignment="1" applyProtection="1">
      <alignment horizontal="center" vertical="center" wrapText="1"/>
      <protection/>
    </xf>
    <xf numFmtId="0" fontId="24" fillId="13" borderId="20" xfId="54" applyFont="1" applyFill="1" applyBorder="1" applyAlignment="1" applyProtection="1">
      <alignment horizontal="center" vertical="center" wrapText="1"/>
      <protection/>
    </xf>
    <xf numFmtId="0" fontId="24" fillId="13" borderId="16" xfId="54" applyFont="1" applyFill="1" applyBorder="1" applyAlignment="1" applyProtection="1">
      <alignment horizontal="center" vertical="center" wrapText="1"/>
      <protection/>
    </xf>
    <xf numFmtId="0" fontId="12" fillId="0" borderId="0" xfId="54" applyFont="1" applyAlignment="1" applyProtection="1">
      <alignment horizontal="center"/>
      <protection/>
    </xf>
    <xf numFmtId="0" fontId="73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6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20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20" xfId="54" applyNumberFormat="1" applyFont="1" applyFill="1" applyBorder="1" applyAlignment="1" applyProtection="1">
      <alignment horizontal="center" vertical="center" wrapText="1"/>
      <protection/>
    </xf>
    <xf numFmtId="182" fontId="4" fillId="0" borderId="16" xfId="54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65;&#1086;&#1076;&#1077;&#1085;&#1085;&#1110;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012500"/>
      <sheetName val="очік на  ост квітень"/>
      <sheetName val="180000"/>
      <sheetName val="ЧТК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250909-сф"/>
      <sheetName val="00180412"/>
      <sheetName val="220804"/>
      <sheetName val="очік на кредит"/>
      <sheetName val="очік-03"/>
      <sheetName val="депозит"/>
      <sheetName val="надх"/>
      <sheetName val="залишки  (2)"/>
      <sheetName val="лютий"/>
      <sheetName val="січень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кредити"/>
      <sheetName val="повер ПДФО та трансп"/>
      <sheetName val="2111 з 2003р"/>
      <sheetName val="2105"/>
      <sheetName val="пайова 2013-2015 10 міс"/>
      <sheetName val="земля"/>
      <sheetName val="Фонтан Сіті"/>
    </sheetNames>
    <sheetDataSet>
      <sheetData sheetId="19">
        <row r="6">
          <cell r="G6">
            <v>9799.3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3" zoomScaleNormal="73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C103" sqref="C10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58" t="s">
        <v>131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85"/>
      <c r="S1" s="86"/>
    </row>
    <row r="2" spans="2:19" s="1" customFormat="1" ht="15.75" customHeight="1">
      <c r="B2" s="259"/>
      <c r="C2" s="259"/>
      <c r="D2" s="259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60"/>
      <c r="B3" s="262"/>
      <c r="C3" s="263" t="s">
        <v>0</v>
      </c>
      <c r="D3" s="264" t="s">
        <v>121</v>
      </c>
      <c r="E3" s="31"/>
      <c r="F3" s="265" t="s">
        <v>26</v>
      </c>
      <c r="G3" s="266"/>
      <c r="H3" s="266"/>
      <c r="I3" s="266"/>
      <c r="J3" s="267"/>
      <c r="K3" s="82"/>
      <c r="L3" s="82"/>
      <c r="M3" s="82"/>
      <c r="N3" s="268" t="s">
        <v>132</v>
      </c>
      <c r="O3" s="269" t="s">
        <v>137</v>
      </c>
      <c r="P3" s="269"/>
      <c r="Q3" s="269"/>
      <c r="R3" s="269"/>
      <c r="S3" s="269"/>
    </row>
    <row r="4" spans="1:19" ht="22.5" customHeight="1">
      <c r="A4" s="260"/>
      <c r="B4" s="262"/>
      <c r="C4" s="263"/>
      <c r="D4" s="264"/>
      <c r="E4" s="270" t="s">
        <v>138</v>
      </c>
      <c r="F4" s="252" t="s">
        <v>33</v>
      </c>
      <c r="G4" s="245" t="s">
        <v>134</v>
      </c>
      <c r="H4" s="254" t="s">
        <v>135</v>
      </c>
      <c r="I4" s="245" t="s">
        <v>125</v>
      </c>
      <c r="J4" s="254" t="s">
        <v>126</v>
      </c>
      <c r="K4" s="84" t="s">
        <v>128</v>
      </c>
      <c r="L4" s="202" t="s">
        <v>111</v>
      </c>
      <c r="M4" s="89" t="s">
        <v>63</v>
      </c>
      <c r="N4" s="254"/>
      <c r="O4" s="256" t="s">
        <v>133</v>
      </c>
      <c r="P4" s="245" t="s">
        <v>49</v>
      </c>
      <c r="Q4" s="247" t="s">
        <v>48</v>
      </c>
      <c r="R4" s="90" t="s">
        <v>64</v>
      </c>
      <c r="S4" s="91" t="s">
        <v>63</v>
      </c>
    </row>
    <row r="5" spans="1:19" ht="67.5" customHeight="1">
      <c r="A5" s="261"/>
      <c r="B5" s="262"/>
      <c r="C5" s="263"/>
      <c r="D5" s="264"/>
      <c r="E5" s="271"/>
      <c r="F5" s="253"/>
      <c r="G5" s="246"/>
      <c r="H5" s="255"/>
      <c r="I5" s="246"/>
      <c r="J5" s="255"/>
      <c r="K5" s="248" t="s">
        <v>136</v>
      </c>
      <c r="L5" s="249"/>
      <c r="M5" s="250"/>
      <c r="N5" s="255"/>
      <c r="O5" s="257"/>
      <c r="P5" s="246"/>
      <c r="Q5" s="247"/>
      <c r="R5" s="248" t="s">
        <v>102</v>
      </c>
      <c r="S5" s="250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95763.76000000001</v>
      </c>
      <c r="G8" s="149">
        <f aca="true" t="shared" si="0" ref="G8:G37">F8-E8</f>
        <v>-100481.73999999999</v>
      </c>
      <c r="H8" s="150">
        <f>F8/E8*100</f>
        <v>48.79793931580597</v>
      </c>
      <c r="I8" s="151">
        <f>F8-D8</f>
        <v>-1202687.34</v>
      </c>
      <c r="J8" s="151">
        <f>F8/D8*100</f>
        <v>7.375230380258448</v>
      </c>
      <c r="K8" s="149">
        <v>140423.02</v>
      </c>
      <c r="L8" s="149">
        <f aca="true" t="shared" si="1" ref="L8:L51">F8-K8</f>
        <v>-44659.25999999998</v>
      </c>
      <c r="M8" s="203">
        <f aca="true" t="shared" si="2" ref="M8:M28">F8/K8</f>
        <v>0.6819662474144198</v>
      </c>
      <c r="N8" s="149">
        <f>N9+N15+N18+N19+N20+N17</f>
        <v>101878</v>
      </c>
      <c r="O8" s="149">
        <f>O9+O15+O18+O19+O20+O17</f>
        <v>1906.7900000000009</v>
      </c>
      <c r="P8" s="149">
        <f>O8-N8</f>
        <v>-99971.20999999999</v>
      </c>
      <c r="Q8" s="149">
        <f>O8/N8*100</f>
        <v>1.871640589724966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47555.19</v>
      </c>
      <c r="G9" s="148">
        <f t="shared" si="0"/>
        <v>-54644.81</v>
      </c>
      <c r="H9" s="155">
        <f>F9/E9*100</f>
        <v>46.531497064579256</v>
      </c>
      <c r="I9" s="156">
        <f>F9-D9</f>
        <v>-719089.81</v>
      </c>
      <c r="J9" s="156">
        <f>F9/D9*100</f>
        <v>6.203026172478788</v>
      </c>
      <c r="K9" s="225">
        <v>70324.6</v>
      </c>
      <c r="L9" s="157">
        <f t="shared" si="1"/>
        <v>-22769.410000000003</v>
      </c>
      <c r="M9" s="204">
        <f t="shared" si="2"/>
        <v>0.676224109344383</v>
      </c>
      <c r="N9" s="155">
        <f>E9-'січень 17'!E9</f>
        <v>54500</v>
      </c>
      <c r="O9" s="158">
        <f>F9-'січень 17'!F9</f>
        <v>630.260000000002</v>
      </c>
      <c r="P9" s="159">
        <f>O9-N9</f>
        <v>-53869.74</v>
      </c>
      <c r="Q9" s="156">
        <f>O9/N9*100</f>
        <v>1.1564403669724808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43738.31</v>
      </c>
      <c r="G10" s="102">
        <f t="shared" si="0"/>
        <v>-48609.69</v>
      </c>
      <c r="H10" s="29">
        <f aca="true" t="shared" si="3" ref="H10:H36">F10/E10*100</f>
        <v>47.36248754710443</v>
      </c>
      <c r="I10" s="103">
        <f aca="true" t="shared" si="4" ref="I10:I37">F10-D10</f>
        <v>-657578.69</v>
      </c>
      <c r="J10" s="103">
        <f aca="true" t="shared" si="5" ref="J10:J36">F10/D10*100</f>
        <v>6.23659628955237</v>
      </c>
      <c r="K10" s="105">
        <v>62213.95</v>
      </c>
      <c r="L10" s="105">
        <f t="shared" si="1"/>
        <v>-18475.64</v>
      </c>
      <c r="M10" s="205">
        <f t="shared" si="2"/>
        <v>0.703030590406171</v>
      </c>
      <c r="N10" s="104">
        <f>E10-'січень 17'!E10</f>
        <v>49064</v>
      </c>
      <c r="O10" s="142">
        <f>F10-'січень 17'!F10</f>
        <v>595.3799999999974</v>
      </c>
      <c r="P10" s="105">
        <f aca="true" t="shared" si="6" ref="P10:P37">O10-N10</f>
        <v>-48468.62</v>
      </c>
      <c r="Q10" s="103">
        <f aca="true" t="shared" si="7" ref="Q10:Q18">O10/N10*100</f>
        <v>1.2134762758845534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2681.7</v>
      </c>
      <c r="G11" s="102">
        <f t="shared" si="0"/>
        <v>-4518.3</v>
      </c>
      <c r="H11" s="29">
        <f t="shared" si="3"/>
        <v>37.24583333333334</v>
      </c>
      <c r="I11" s="103">
        <f t="shared" si="4"/>
        <v>-43824.3</v>
      </c>
      <c r="J11" s="103">
        <f t="shared" si="5"/>
        <v>5.76635272868017</v>
      </c>
      <c r="K11" s="105">
        <v>5319.16</v>
      </c>
      <c r="L11" s="105">
        <f t="shared" si="1"/>
        <v>-2637.46</v>
      </c>
      <c r="M11" s="205">
        <f t="shared" si="2"/>
        <v>0.5041585513502131</v>
      </c>
      <c r="N11" s="104">
        <f>E11-'січень 17'!E11</f>
        <v>3600</v>
      </c>
      <c r="O11" s="142">
        <f>F11-'січень 17'!F11</f>
        <v>0</v>
      </c>
      <c r="P11" s="105">
        <f t="shared" si="6"/>
        <v>-3600</v>
      </c>
      <c r="Q11" s="103">
        <f t="shared" si="7"/>
        <v>0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515.69</v>
      </c>
      <c r="G12" s="102">
        <f t="shared" si="0"/>
        <v>-324.30999999999995</v>
      </c>
      <c r="H12" s="29">
        <f t="shared" si="3"/>
        <v>61.39166666666668</v>
      </c>
      <c r="I12" s="103">
        <f t="shared" si="4"/>
        <v>-7764.3099999999995</v>
      </c>
      <c r="J12" s="103">
        <f t="shared" si="5"/>
        <v>6.2281400966183575</v>
      </c>
      <c r="K12" s="105">
        <v>822.03</v>
      </c>
      <c r="L12" s="105">
        <f t="shared" si="1"/>
        <v>-306.3399999999999</v>
      </c>
      <c r="M12" s="205">
        <f t="shared" si="2"/>
        <v>0.627337201805287</v>
      </c>
      <c r="N12" s="104">
        <f>E12-'січень 17'!E12</f>
        <v>420</v>
      </c>
      <c r="O12" s="142">
        <f>F12-'січень 17'!F12</f>
        <v>15.260000000000048</v>
      </c>
      <c r="P12" s="105">
        <f t="shared" si="6"/>
        <v>-404.73999999999995</v>
      </c>
      <c r="Q12" s="103">
        <f t="shared" si="7"/>
        <v>3.633333333333345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518.99</v>
      </c>
      <c r="G13" s="102">
        <f t="shared" si="0"/>
        <v>-1101.01</v>
      </c>
      <c r="H13" s="29">
        <f t="shared" si="3"/>
        <v>32.03641975308642</v>
      </c>
      <c r="I13" s="103">
        <f t="shared" si="4"/>
        <v>-8871.01</v>
      </c>
      <c r="J13" s="103">
        <f t="shared" si="5"/>
        <v>5.527050053248137</v>
      </c>
      <c r="K13" s="105">
        <v>1514.49</v>
      </c>
      <c r="L13" s="105">
        <f t="shared" si="1"/>
        <v>-995.5</v>
      </c>
      <c r="M13" s="205">
        <f t="shared" si="2"/>
        <v>0.3426830154045256</v>
      </c>
      <c r="N13" s="104">
        <f>E13-'січень 17'!E13</f>
        <v>1320</v>
      </c>
      <c r="O13" s="142">
        <f>F13-'січень 17'!F13</f>
        <v>19.629999999999995</v>
      </c>
      <c r="P13" s="105">
        <f t="shared" si="6"/>
        <v>-1300.37</v>
      </c>
      <c r="Q13" s="103">
        <f t="shared" si="7"/>
        <v>1.4871212121212118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100.5</v>
      </c>
      <c r="G14" s="102">
        <f t="shared" si="0"/>
        <v>-91.5</v>
      </c>
      <c r="H14" s="29">
        <f t="shared" si="3"/>
        <v>52.34375</v>
      </c>
      <c r="I14" s="103">
        <f t="shared" si="4"/>
        <v>-1051.5</v>
      </c>
      <c r="J14" s="103">
        <f t="shared" si="5"/>
        <v>8.723958333333332</v>
      </c>
      <c r="K14" s="105">
        <v>454.97</v>
      </c>
      <c r="L14" s="105">
        <f t="shared" si="1"/>
        <v>-354.47</v>
      </c>
      <c r="M14" s="205">
        <f t="shared" si="2"/>
        <v>0.2208936852979317</v>
      </c>
      <c r="N14" s="104">
        <f>E14-'січень 17'!E14</f>
        <v>96</v>
      </c>
      <c r="O14" s="142">
        <f>F14-'січень 17'!F14</f>
        <v>0</v>
      </c>
      <c r="P14" s="105">
        <f t="shared" si="6"/>
        <v>-96</v>
      </c>
      <c r="Q14" s="103">
        <f t="shared" si="7"/>
        <v>0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0</v>
      </c>
      <c r="G15" s="148">
        <f t="shared" si="0"/>
        <v>-51</v>
      </c>
      <c r="H15" s="155">
        <f>F15/E15/100</f>
        <v>0</v>
      </c>
      <c r="I15" s="156">
        <f t="shared" si="4"/>
        <v>-551</v>
      </c>
      <c r="J15" s="156">
        <f t="shared" si="5"/>
        <v>0</v>
      </c>
      <c r="K15" s="159">
        <v>85.14</v>
      </c>
      <c r="L15" s="159">
        <f t="shared" si="1"/>
        <v>-85.14</v>
      </c>
      <c r="M15" s="206">
        <f t="shared" si="2"/>
        <v>0</v>
      </c>
      <c r="N15" s="135">
        <f>E15-'січень 17'!E15</f>
        <v>51</v>
      </c>
      <c r="O15" s="143">
        <f>F15-'січень 17'!F15</f>
        <v>0</v>
      </c>
      <c r="P15" s="159">
        <f t="shared" si="6"/>
        <v>-51</v>
      </c>
      <c r="Q15" s="156">
        <f t="shared" si="7"/>
        <v>0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0</v>
      </c>
      <c r="G18" s="148">
        <f t="shared" si="0"/>
        <v>-70</v>
      </c>
      <c r="H18" s="155">
        <f>F18/E18/100</f>
        <v>0</v>
      </c>
      <c r="I18" s="156">
        <f t="shared" si="4"/>
        <v>-125</v>
      </c>
      <c r="J18" s="156">
        <f t="shared" si="5"/>
        <v>0</v>
      </c>
      <c r="K18" s="159">
        <v>105.8</v>
      </c>
      <c r="L18" s="159">
        <f t="shared" si="1"/>
        <v>-105.8</v>
      </c>
      <c r="M18" s="206">
        <f t="shared" si="2"/>
        <v>0</v>
      </c>
      <c r="N18" s="155">
        <f>E18-'січень 17'!E18</f>
        <v>70</v>
      </c>
      <c r="O18" s="158">
        <f>F18-'січень 17'!F18</f>
        <v>0</v>
      </c>
      <c r="P18" s="159">
        <f t="shared" si="6"/>
        <v>-70</v>
      </c>
      <c r="Q18" s="156">
        <f t="shared" si="7"/>
        <v>0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9756.07</v>
      </c>
      <c r="G19" s="148">
        <f t="shared" si="0"/>
        <v>-8243.93</v>
      </c>
      <c r="H19" s="155">
        <f t="shared" si="3"/>
        <v>54.20038888888888</v>
      </c>
      <c r="I19" s="156">
        <f t="shared" si="4"/>
        <v>-120243.93</v>
      </c>
      <c r="J19" s="156">
        <f t="shared" si="5"/>
        <v>7.50466923076923</v>
      </c>
      <c r="K19" s="167">
        <v>10861</v>
      </c>
      <c r="L19" s="159">
        <f t="shared" si="1"/>
        <v>-1104.9300000000003</v>
      </c>
      <c r="M19" s="211">
        <f t="shared" si="2"/>
        <v>0.8982662738237731</v>
      </c>
      <c r="N19" s="155">
        <f>E19-'січень 17'!E19</f>
        <v>8300</v>
      </c>
      <c r="O19" s="158">
        <f>F19-'січень 17'!F19</f>
        <v>4.319999999999709</v>
      </c>
      <c r="P19" s="159">
        <f t="shared" si="6"/>
        <v>-8295.68</v>
      </c>
      <c r="Q19" s="156">
        <f aca="true" t="shared" si="9" ref="Q19:Q24">O19/N19*100</f>
        <v>0.05204819277108083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38452.5</v>
      </c>
      <c r="G20" s="148">
        <f t="shared" si="0"/>
        <v>-37472</v>
      </c>
      <c r="H20" s="155">
        <f t="shared" si="3"/>
        <v>50.64570724864833</v>
      </c>
      <c r="I20" s="156">
        <f t="shared" si="4"/>
        <v>-362677.6</v>
      </c>
      <c r="J20" s="156">
        <f t="shared" si="5"/>
        <v>9.586042034741347</v>
      </c>
      <c r="K20" s="156">
        <v>59046.44</v>
      </c>
      <c r="L20" s="159">
        <f t="shared" si="1"/>
        <v>-20593.940000000002</v>
      </c>
      <c r="M20" s="207">
        <f t="shared" si="2"/>
        <v>0.6512246970350795</v>
      </c>
      <c r="N20" s="155">
        <f>E20-'січень 17'!E20</f>
        <v>38957</v>
      </c>
      <c r="O20" s="158">
        <f>F20-'січень 17'!F20</f>
        <v>1272.2099999999991</v>
      </c>
      <c r="P20" s="159">
        <f t="shared" si="6"/>
        <v>-37684.79</v>
      </c>
      <c r="Q20" s="156">
        <f t="shared" si="9"/>
        <v>3.265677541905175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16658.23</v>
      </c>
      <c r="G21" s="148">
        <f t="shared" si="0"/>
        <v>-15422.57</v>
      </c>
      <c r="H21" s="155">
        <f t="shared" si="3"/>
        <v>51.92585596369168</v>
      </c>
      <c r="I21" s="156">
        <f t="shared" si="4"/>
        <v>-189962.77</v>
      </c>
      <c r="J21" s="156">
        <f t="shared" si="5"/>
        <v>8.062215360490947</v>
      </c>
      <c r="K21" s="156">
        <v>25484.06</v>
      </c>
      <c r="L21" s="159">
        <f t="shared" si="1"/>
        <v>-8825.830000000002</v>
      </c>
      <c r="M21" s="207">
        <f t="shared" si="2"/>
        <v>0.653672530986036</v>
      </c>
      <c r="N21" s="155">
        <f>E21-'січень 17'!E21</f>
        <v>15335</v>
      </c>
      <c r="O21" s="158">
        <f>F21-'січень 17'!F21</f>
        <v>137.95000000000073</v>
      </c>
      <c r="P21" s="159">
        <f t="shared" si="6"/>
        <v>-15197.05</v>
      </c>
      <c r="Q21" s="156">
        <f t="shared" si="9"/>
        <v>0.8995761330290234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3825.17</v>
      </c>
      <c r="G22" s="169">
        <f t="shared" si="0"/>
        <v>-549.8299999999999</v>
      </c>
      <c r="H22" s="171">
        <f t="shared" si="3"/>
        <v>87.43245714285715</v>
      </c>
      <c r="I22" s="172">
        <f t="shared" si="4"/>
        <v>-18983.83</v>
      </c>
      <c r="J22" s="172">
        <f t="shared" si="5"/>
        <v>16.770441492393353</v>
      </c>
      <c r="K22" s="173">
        <v>3552.77</v>
      </c>
      <c r="L22" s="164">
        <f t="shared" si="1"/>
        <v>272.4000000000001</v>
      </c>
      <c r="M22" s="213">
        <f t="shared" si="2"/>
        <v>1.076672568165122</v>
      </c>
      <c r="N22" s="193">
        <f>E22-'січень 17'!E22</f>
        <v>225</v>
      </c>
      <c r="O22" s="177">
        <f>F22-'січень 17'!F22</f>
        <v>5.559999999999945</v>
      </c>
      <c r="P22" s="175">
        <f t="shared" si="6"/>
        <v>-219.44000000000005</v>
      </c>
      <c r="Q22" s="172">
        <f t="shared" si="9"/>
        <v>2.4711111111110866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121.36</v>
      </c>
      <c r="G23" s="196">
        <f t="shared" si="0"/>
        <v>-73.64</v>
      </c>
      <c r="H23" s="197">
        <f t="shared" si="3"/>
        <v>62.235897435897435</v>
      </c>
      <c r="I23" s="198">
        <f t="shared" si="4"/>
        <v>-1700.94</v>
      </c>
      <c r="J23" s="198">
        <f t="shared" si="5"/>
        <v>6.659715743840203</v>
      </c>
      <c r="K23" s="198">
        <v>146.88</v>
      </c>
      <c r="L23" s="198">
        <f t="shared" si="1"/>
        <v>-25.519999999999996</v>
      </c>
      <c r="M23" s="226">
        <f t="shared" si="2"/>
        <v>0.8262527233115469</v>
      </c>
      <c r="N23" s="234">
        <f>E23-'січень 17'!E23</f>
        <v>55</v>
      </c>
      <c r="O23" s="234">
        <f>F23-'січень 17'!F23</f>
        <v>0.9899999999999949</v>
      </c>
      <c r="P23" s="198">
        <f t="shared" si="6"/>
        <v>-54.010000000000005</v>
      </c>
      <c r="Q23" s="198">
        <f t="shared" si="9"/>
        <v>1.799999999999991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3703.81</v>
      </c>
      <c r="G24" s="196">
        <f t="shared" si="0"/>
        <v>-476.19000000000005</v>
      </c>
      <c r="H24" s="197">
        <f t="shared" si="3"/>
        <v>88.60789473684211</v>
      </c>
      <c r="I24" s="198">
        <f t="shared" si="4"/>
        <v>-17282.89</v>
      </c>
      <c r="J24" s="198">
        <f t="shared" si="5"/>
        <v>17.648367775781804</v>
      </c>
      <c r="K24" s="198">
        <v>3405.89</v>
      </c>
      <c r="L24" s="198">
        <f t="shared" si="1"/>
        <v>297.9200000000001</v>
      </c>
      <c r="M24" s="226">
        <f t="shared" si="2"/>
        <v>1.0874719970404212</v>
      </c>
      <c r="N24" s="234">
        <f>E24-'січень 17'!E24</f>
        <v>170</v>
      </c>
      <c r="O24" s="234">
        <f>F24-'січень 17'!F24</f>
        <v>4.570000000000164</v>
      </c>
      <c r="P24" s="198">
        <f t="shared" si="6"/>
        <v>-165.42999999999984</v>
      </c>
      <c r="Q24" s="198">
        <f t="shared" si="9"/>
        <v>2.688235294117743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52.08</v>
      </c>
      <c r="G25" s="169">
        <f t="shared" si="0"/>
        <v>1.2800000000000011</v>
      </c>
      <c r="H25" s="171">
        <f t="shared" si="3"/>
        <v>102.51968503937007</v>
      </c>
      <c r="I25" s="172">
        <f t="shared" si="4"/>
        <v>-767.92</v>
      </c>
      <c r="J25" s="172">
        <f t="shared" si="5"/>
        <v>6.351219512195122</v>
      </c>
      <c r="K25" s="172">
        <v>174.21</v>
      </c>
      <c r="L25" s="172">
        <f t="shared" si="1"/>
        <v>-122.13000000000001</v>
      </c>
      <c r="M25" s="210">
        <f t="shared" si="2"/>
        <v>0.2989495436542104</v>
      </c>
      <c r="N25" s="193">
        <f>E25-'січень 17'!E25</f>
        <v>5</v>
      </c>
      <c r="O25" s="177">
        <f>F25-'січень 17'!F25</f>
        <v>0</v>
      </c>
      <c r="P25" s="175">
        <f t="shared" si="6"/>
        <v>-5</v>
      </c>
      <c r="Q25" s="172">
        <f>O25/N25*100</f>
        <v>0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12780.98</v>
      </c>
      <c r="G26" s="169">
        <f t="shared" si="0"/>
        <v>-14874.02</v>
      </c>
      <c r="H26" s="171">
        <f t="shared" si="3"/>
        <v>46.215801844151144</v>
      </c>
      <c r="I26" s="172">
        <f t="shared" si="4"/>
        <v>-170211.02</v>
      </c>
      <c r="J26" s="172">
        <f t="shared" si="5"/>
        <v>6.9844474075369405</v>
      </c>
      <c r="K26" s="173">
        <v>21757.07</v>
      </c>
      <c r="L26" s="173">
        <f t="shared" si="1"/>
        <v>-8976.09</v>
      </c>
      <c r="M26" s="209">
        <f t="shared" si="2"/>
        <v>0.5874403125053144</v>
      </c>
      <c r="N26" s="193">
        <f>E26-'січень 17'!E26</f>
        <v>15105</v>
      </c>
      <c r="O26" s="177">
        <f>F26-'січень 17'!F26</f>
        <v>132.38999999999942</v>
      </c>
      <c r="P26" s="175">
        <f t="shared" si="6"/>
        <v>-14972.61</v>
      </c>
      <c r="Q26" s="172">
        <f>O26/N26*100</f>
        <v>0.8764647467725879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3819.1</v>
      </c>
      <c r="G27" s="196">
        <f t="shared" si="0"/>
        <v>-4360.9</v>
      </c>
      <c r="H27" s="197">
        <f t="shared" si="3"/>
        <v>46.68826405867971</v>
      </c>
      <c r="I27" s="198">
        <f t="shared" si="4"/>
        <v>-53713.9</v>
      </c>
      <c r="J27" s="198">
        <f t="shared" si="5"/>
        <v>6.638103349382093</v>
      </c>
      <c r="K27" s="198">
        <v>6708.33</v>
      </c>
      <c r="L27" s="198">
        <f t="shared" si="1"/>
        <v>-2889.23</v>
      </c>
      <c r="M27" s="226">
        <f t="shared" si="2"/>
        <v>0.5693071151836597</v>
      </c>
      <c r="N27" s="234">
        <f>E27-'січень 17'!E27</f>
        <v>4650</v>
      </c>
      <c r="O27" s="234">
        <f>F27-'січень 17'!F27</f>
        <v>19.23999999999978</v>
      </c>
      <c r="P27" s="198">
        <f t="shared" si="6"/>
        <v>-4630.76</v>
      </c>
      <c r="Q27" s="198">
        <f>O27/N27*100</f>
        <v>0.4137634408602104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8961.88</v>
      </c>
      <c r="G28" s="196">
        <f t="shared" si="0"/>
        <v>-10513.12</v>
      </c>
      <c r="H28" s="197">
        <f t="shared" si="3"/>
        <v>46.01735558408215</v>
      </c>
      <c r="I28" s="198">
        <f t="shared" si="4"/>
        <v>-116497.12</v>
      </c>
      <c r="J28" s="198">
        <f t="shared" si="5"/>
        <v>7.143273898245642</v>
      </c>
      <c r="K28" s="198">
        <v>15048.75</v>
      </c>
      <c r="L28" s="198">
        <f t="shared" si="1"/>
        <v>-6086.870000000001</v>
      </c>
      <c r="M28" s="226">
        <f t="shared" si="2"/>
        <v>0.5955232162139712</v>
      </c>
      <c r="N28" s="234">
        <f>E28-'січень 17'!E28</f>
        <v>10455</v>
      </c>
      <c r="O28" s="234">
        <f>F28-'січень 17'!F28</f>
        <v>113.14999999999964</v>
      </c>
      <c r="P28" s="198">
        <f t="shared" si="6"/>
        <v>-10341.85</v>
      </c>
      <c r="Q28" s="198">
        <f>O28/N28*100</f>
        <v>1.0822572931611634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13.06</v>
      </c>
      <c r="G30" s="148">
        <f t="shared" si="0"/>
        <v>-1.9399999999999995</v>
      </c>
      <c r="H30" s="155">
        <f t="shared" si="3"/>
        <v>87.06666666666666</v>
      </c>
      <c r="I30" s="156">
        <f t="shared" si="4"/>
        <v>-101.94</v>
      </c>
      <c r="J30" s="156">
        <f t="shared" si="5"/>
        <v>11.356521739130434</v>
      </c>
      <c r="K30" s="156">
        <v>20.81</v>
      </c>
      <c r="L30" s="156">
        <f t="shared" si="1"/>
        <v>-7.749999999999998</v>
      </c>
      <c r="M30" s="208">
        <f>F30/K30</f>
        <v>0.6275828928399808</v>
      </c>
      <c r="N30" s="155">
        <f>E30-'січень 17'!E30</f>
        <v>12</v>
      </c>
      <c r="O30" s="158">
        <f>F30-'січень 17'!F30</f>
        <v>0</v>
      </c>
      <c r="P30" s="159">
        <f t="shared" si="6"/>
        <v>-12</v>
      </c>
      <c r="Q30" s="156">
        <f>O30/N30*100</f>
        <v>0</v>
      </c>
      <c r="R30" s="106"/>
      <c r="S30" s="107"/>
      <c r="T30" s="145">
        <f t="shared" si="8"/>
        <v>100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-52.93</v>
      </c>
      <c r="L31" s="156">
        <f t="shared" si="1"/>
        <v>50</v>
      </c>
      <c r="M31" s="208">
        <f>F31/K31</f>
        <v>0.05535613073871151</v>
      </c>
      <c r="N31" s="155">
        <f>E31-'січень 17'!E31</f>
        <v>0</v>
      </c>
      <c r="O31" s="158">
        <f>F31-'січень 17'!F31</f>
        <v>0</v>
      </c>
      <c r="P31" s="159">
        <f t="shared" si="6"/>
        <v>0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21783.94</v>
      </c>
      <c r="G32" s="160">
        <f t="shared" si="0"/>
        <v>-22044.76</v>
      </c>
      <c r="H32" s="162">
        <f t="shared" si="3"/>
        <v>49.70245524051592</v>
      </c>
      <c r="I32" s="163">
        <f t="shared" si="4"/>
        <v>-172610.16</v>
      </c>
      <c r="J32" s="163">
        <f t="shared" si="5"/>
        <v>11.206070554610454</v>
      </c>
      <c r="K32" s="176">
        <v>33594.51</v>
      </c>
      <c r="L32" s="176">
        <f>F32-K32</f>
        <v>-11810.570000000003</v>
      </c>
      <c r="M32" s="224">
        <f>F32/K32</f>
        <v>0.6484374976744711</v>
      </c>
      <c r="N32" s="155">
        <f>E32-'січень 17'!E32</f>
        <v>23609.999999999996</v>
      </c>
      <c r="O32" s="158">
        <f>F32-'січень 17'!F32</f>
        <v>1134.2599999999984</v>
      </c>
      <c r="P32" s="165">
        <f t="shared" si="6"/>
        <v>-22475.739999999998</v>
      </c>
      <c r="Q32" s="163">
        <f>O32/N32*100</f>
        <v>4.804150783566279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3689.32</v>
      </c>
      <c r="G34" s="102">
        <f t="shared" si="0"/>
        <v>-5420.68</v>
      </c>
      <c r="H34" s="104">
        <f t="shared" si="3"/>
        <v>40.49747530186608</v>
      </c>
      <c r="I34" s="103">
        <f t="shared" si="4"/>
        <v>-37310.68</v>
      </c>
      <c r="J34" s="103">
        <f t="shared" si="5"/>
        <v>8.998341463414635</v>
      </c>
      <c r="K34" s="126">
        <v>8679.27</v>
      </c>
      <c r="L34" s="126">
        <f t="shared" si="1"/>
        <v>-4989.950000000001</v>
      </c>
      <c r="M34" s="214">
        <f t="shared" si="10"/>
        <v>0.4250726155540731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18078.5</v>
      </c>
      <c r="G35" s="102">
        <f t="shared" si="0"/>
        <v>-16621.5</v>
      </c>
      <c r="H35" s="104">
        <f t="shared" si="3"/>
        <v>52.09942363112392</v>
      </c>
      <c r="I35" s="103">
        <f t="shared" si="4"/>
        <v>-135260.6</v>
      </c>
      <c r="J35" s="103">
        <f t="shared" si="5"/>
        <v>11.789882684846852</v>
      </c>
      <c r="K35" s="126">
        <v>24907.67</v>
      </c>
      <c r="L35" s="126">
        <f t="shared" si="1"/>
        <v>-6829.169999999998</v>
      </c>
      <c r="M35" s="214">
        <f t="shared" si="10"/>
        <v>0.7258206006422921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6401.05</v>
      </c>
      <c r="G38" s="149">
        <f>G39+G40+G41+G42+G43+G45+G47+G48+G49+G50+G51+G56+G57+G61</f>
        <v>-1359.4499999999996</v>
      </c>
      <c r="H38" s="150">
        <f>F38/E38*100</f>
        <v>82.33814846734671</v>
      </c>
      <c r="I38" s="151">
        <f>F38-D38</f>
        <v>-52623.95</v>
      </c>
      <c r="J38" s="151">
        <f>F38/D38*100</f>
        <v>10.844642100804744</v>
      </c>
      <c r="K38" s="149">
        <v>4916.44</v>
      </c>
      <c r="L38" s="149">
        <f t="shared" si="1"/>
        <v>1484.6100000000006</v>
      </c>
      <c r="M38" s="203">
        <f t="shared" si="10"/>
        <v>1.3019684975307337</v>
      </c>
      <c r="N38" s="149">
        <f>N39+N40+N41+N42+N43+N45+N47+N48+N49+N50+N51+N56+N57+N61+N44</f>
        <v>4786.3</v>
      </c>
      <c r="O38" s="149">
        <f>O39+O40+O41+O42+O43+O45+O47+O48+O49+O50+O51+O56+O57+O61+O44</f>
        <v>2173.32</v>
      </c>
      <c r="P38" s="149">
        <f>P39+P40+P41+P42+P43+P45+P47+P48+P49+P50+P51+P56+P57+P61</f>
        <v>-2606.1799999999994</v>
      </c>
      <c r="Q38" s="149">
        <f>O38/N38*100</f>
        <v>45.40709942962205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8.18</v>
      </c>
      <c r="G39" s="160">
        <f>F39-E39</f>
        <v>-71.82</v>
      </c>
      <c r="H39" s="162"/>
      <c r="I39" s="163">
        <f>F39-D39</f>
        <v>-571.82</v>
      </c>
      <c r="J39" s="163">
        <f>F39/D39*100</f>
        <v>1.410344827586207</v>
      </c>
      <c r="K39" s="163">
        <v>78.05</v>
      </c>
      <c r="L39" s="163">
        <f t="shared" si="1"/>
        <v>-69.87</v>
      </c>
      <c r="M39" s="216">
        <f t="shared" si="10"/>
        <v>0.10480461242793081</v>
      </c>
      <c r="N39" s="162">
        <f>E39-'січень 17'!E39</f>
        <v>80</v>
      </c>
      <c r="O39" s="166">
        <f>F39-'січень 17'!F39</f>
        <v>0</v>
      </c>
      <c r="P39" s="165">
        <f>O39-N39</f>
        <v>-80</v>
      </c>
      <c r="Q39" s="163">
        <f aca="true" t="shared" si="11" ref="Q39:Q62">O39/N39*100</f>
        <v>0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14.87</v>
      </c>
      <c r="G41" s="160">
        <f t="shared" si="12"/>
        <v>-1.1300000000000008</v>
      </c>
      <c r="H41" s="162">
        <f aca="true" t="shared" si="15" ref="H41:H62">F41/E41*100</f>
        <v>92.9375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24.38</v>
      </c>
      <c r="L41" s="163">
        <f t="shared" si="1"/>
        <v>-9.51</v>
      </c>
      <c r="M41" s="216">
        <f aca="true" t="shared" si="17" ref="M41:M63">F41/K41</f>
        <v>0.6099261689909762</v>
      </c>
      <c r="N41" s="162">
        <f>E41-'січень 17'!E41</f>
        <v>6</v>
      </c>
      <c r="O41" s="166">
        <f>F41-'січень 17'!F41</f>
        <v>0</v>
      </c>
      <c r="P41" s="165">
        <f t="shared" si="14"/>
        <v>-6</v>
      </c>
      <c r="Q41" s="163"/>
      <c r="R41" s="36"/>
      <c r="S41" s="93"/>
      <c r="T41" s="145">
        <f t="shared" si="8"/>
        <v>24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>
        <f>E42-'січень 17'!E42</f>
        <v>0</v>
      </c>
      <c r="O42" s="166">
        <f>F42-'січень 17'!F42</f>
        <v>0</v>
      </c>
      <c r="P42" s="165">
        <f t="shared" si="14"/>
        <v>0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11.17</v>
      </c>
      <c r="G43" s="160">
        <f t="shared" si="12"/>
        <v>-28.83</v>
      </c>
      <c r="H43" s="162">
        <f t="shared" si="15"/>
        <v>27.925</v>
      </c>
      <c r="I43" s="163">
        <f t="shared" si="13"/>
        <v>-248.83</v>
      </c>
      <c r="J43" s="163">
        <f t="shared" si="16"/>
        <v>4.296153846153846</v>
      </c>
      <c r="K43" s="163">
        <v>3.65</v>
      </c>
      <c r="L43" s="163">
        <f t="shared" si="1"/>
        <v>7.52</v>
      </c>
      <c r="M43" s="216">
        <f t="shared" si="17"/>
        <v>3.0602739726027397</v>
      </c>
      <c r="N43" s="162">
        <f>E43-'січень 17'!E43</f>
        <v>20</v>
      </c>
      <c r="O43" s="166">
        <f>F43-'січень 17'!F43</f>
        <v>0</v>
      </c>
      <c r="P43" s="165">
        <f t="shared" si="14"/>
        <v>-20</v>
      </c>
      <c r="Q43" s="163">
        <f t="shared" si="11"/>
        <v>0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98.95</v>
      </c>
      <c r="G45" s="160">
        <f t="shared" si="12"/>
        <v>-21.049999999999997</v>
      </c>
      <c r="H45" s="162">
        <f t="shared" si="15"/>
        <v>82.45833333333333</v>
      </c>
      <c r="I45" s="163">
        <f t="shared" si="13"/>
        <v>-631.05</v>
      </c>
      <c r="J45" s="163">
        <f t="shared" si="16"/>
        <v>13.554794520547947</v>
      </c>
      <c r="K45" s="163">
        <v>0</v>
      </c>
      <c r="L45" s="163">
        <f t="shared" si="1"/>
        <v>98.95</v>
      </c>
      <c r="M45" s="216"/>
      <c r="N45" s="162">
        <f>E45-'січень 17'!E45</f>
        <v>60</v>
      </c>
      <c r="O45" s="166">
        <f>F45-'січень 17'!F45</f>
        <v>9.5</v>
      </c>
      <c r="P45" s="165">
        <f t="shared" si="14"/>
        <v>-50.5</v>
      </c>
      <c r="Q45" s="163">
        <f t="shared" si="11"/>
        <v>15.833333333333332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1083.42</v>
      </c>
      <c r="G47" s="160">
        <f t="shared" si="12"/>
        <v>-316.5799999999999</v>
      </c>
      <c r="H47" s="162">
        <f t="shared" si="15"/>
        <v>77.38714285714286</v>
      </c>
      <c r="I47" s="163">
        <f t="shared" si="13"/>
        <v>-9916.58</v>
      </c>
      <c r="J47" s="163">
        <f t="shared" si="16"/>
        <v>9.849272727272727</v>
      </c>
      <c r="K47" s="163">
        <v>1351.17</v>
      </c>
      <c r="L47" s="163">
        <f t="shared" si="1"/>
        <v>-267.75</v>
      </c>
      <c r="M47" s="216">
        <f t="shared" si="17"/>
        <v>0.801838406714181</v>
      </c>
      <c r="N47" s="162">
        <f>E47-'січень 17'!E47</f>
        <v>800</v>
      </c>
      <c r="O47" s="166">
        <f>F47-'січень 17'!F47</f>
        <v>30.860000000000127</v>
      </c>
      <c r="P47" s="165">
        <f t="shared" si="14"/>
        <v>-769.1399999999999</v>
      </c>
      <c r="Q47" s="163">
        <f t="shared" si="11"/>
        <v>3.857500000000016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46.93</v>
      </c>
      <c r="G48" s="160">
        <f t="shared" si="12"/>
        <v>-3.0700000000000003</v>
      </c>
      <c r="H48" s="162">
        <f t="shared" si="15"/>
        <v>93.86</v>
      </c>
      <c r="I48" s="163">
        <f t="shared" si="13"/>
        <v>-263.07</v>
      </c>
      <c r="J48" s="163">
        <f t="shared" si="16"/>
        <v>15.138709677419355</v>
      </c>
      <c r="K48" s="163">
        <v>1.03</v>
      </c>
      <c r="L48" s="163">
        <f t="shared" si="1"/>
        <v>45.9</v>
      </c>
      <c r="M48" s="216"/>
      <c r="N48" s="162">
        <f>E48-'січень 17'!E48</f>
        <v>25</v>
      </c>
      <c r="O48" s="166">
        <f>F48-'січень 17'!F48</f>
        <v>2.3999999999999986</v>
      </c>
      <c r="P48" s="165">
        <f t="shared" si="14"/>
        <v>-22.6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684.99</v>
      </c>
      <c r="G50" s="160">
        <f t="shared" si="12"/>
        <v>-515.01</v>
      </c>
      <c r="H50" s="162">
        <f t="shared" si="15"/>
        <v>57.0825</v>
      </c>
      <c r="I50" s="163">
        <f t="shared" si="13"/>
        <v>-6590.01</v>
      </c>
      <c r="J50" s="163">
        <f t="shared" si="16"/>
        <v>9.415670103092785</v>
      </c>
      <c r="K50" s="163">
        <v>1303.34</v>
      </c>
      <c r="L50" s="163">
        <f t="shared" si="1"/>
        <v>-618.3499999999999</v>
      </c>
      <c r="M50" s="216">
        <f t="shared" si="17"/>
        <v>0.5255650866235979</v>
      </c>
      <c r="N50" s="162">
        <f>E50-'січень 17'!E50</f>
        <v>600</v>
      </c>
      <c r="O50" s="166">
        <f>F50-'січень 17'!F50</f>
        <v>0</v>
      </c>
      <c r="P50" s="165">
        <f t="shared" si="14"/>
        <v>-600</v>
      </c>
      <c r="Q50" s="163">
        <f t="shared" si="11"/>
        <v>0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41.08</v>
      </c>
      <c r="G51" s="160">
        <f t="shared" si="12"/>
        <v>-98.92</v>
      </c>
      <c r="H51" s="162">
        <f t="shared" si="15"/>
        <v>29.34285714285714</v>
      </c>
      <c r="I51" s="163">
        <f t="shared" si="13"/>
        <v>-1158.92</v>
      </c>
      <c r="J51" s="163">
        <f t="shared" si="16"/>
        <v>3.423333333333333</v>
      </c>
      <c r="K51" s="163">
        <v>965.16</v>
      </c>
      <c r="L51" s="163">
        <f t="shared" si="1"/>
        <v>-924.0799999999999</v>
      </c>
      <c r="M51" s="216">
        <f t="shared" si="17"/>
        <v>0.04256289112685979</v>
      </c>
      <c r="N51" s="162">
        <f>E51-'січень 17'!E51</f>
        <v>85</v>
      </c>
      <c r="O51" s="166">
        <f>F51-'січень 17'!F51</f>
        <v>0.9899999999999949</v>
      </c>
      <c r="P51" s="165">
        <f t="shared" si="14"/>
        <v>-84.01</v>
      </c>
      <c r="Q51" s="163">
        <f t="shared" si="11"/>
        <v>1.1647058823529353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33.23</v>
      </c>
      <c r="G52" s="33">
        <f t="shared" si="12"/>
        <v>-76.77000000000001</v>
      </c>
      <c r="H52" s="29">
        <f t="shared" si="15"/>
        <v>30.209090909090907</v>
      </c>
      <c r="I52" s="103">
        <f t="shared" si="13"/>
        <v>-964.77</v>
      </c>
      <c r="J52" s="103">
        <f t="shared" si="16"/>
        <v>3.3296593186372743</v>
      </c>
      <c r="K52" s="103">
        <v>86.43</v>
      </c>
      <c r="L52" s="103">
        <f>F52-K52</f>
        <v>-53.20000000000001</v>
      </c>
      <c r="M52" s="108">
        <f t="shared" si="17"/>
        <v>0.38447298391762114</v>
      </c>
      <c r="N52" s="162">
        <f>E52-'січень 17'!E52</f>
        <v>70</v>
      </c>
      <c r="O52" s="166">
        <f>F52-'січень 17'!F52</f>
        <v>0.4199999999999946</v>
      </c>
      <c r="P52" s="105">
        <f t="shared" si="14"/>
        <v>-69.58000000000001</v>
      </c>
      <c r="Q52" s="118">
        <f t="shared" si="11"/>
        <v>0.5999999999999923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0.05</v>
      </c>
      <c r="G53" s="33">
        <f t="shared" si="12"/>
        <v>0.05</v>
      </c>
      <c r="H53" s="29" t="e">
        <f t="shared" si="15"/>
        <v>#DIV/0!</v>
      </c>
      <c r="I53" s="103">
        <f t="shared" si="13"/>
        <v>-0.95</v>
      </c>
      <c r="J53" s="103">
        <f t="shared" si="16"/>
        <v>5</v>
      </c>
      <c r="K53" s="103">
        <v>0.08</v>
      </c>
      <c r="L53" s="103">
        <f>F53-K53</f>
        <v>-0.03</v>
      </c>
      <c r="M53" s="108">
        <f t="shared" si="17"/>
        <v>0.625</v>
      </c>
      <c r="N53" s="162">
        <f>E53-'січень 17'!E53</f>
        <v>0</v>
      </c>
      <c r="O53" s="166">
        <f>F53-'січень 17'!F53</f>
        <v>0.04</v>
      </c>
      <c r="P53" s="105">
        <f t="shared" si="14"/>
        <v>0.04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7.8</v>
      </c>
      <c r="G55" s="33">
        <f t="shared" si="12"/>
        <v>-22.2</v>
      </c>
      <c r="H55" s="29">
        <f t="shared" si="15"/>
        <v>26</v>
      </c>
      <c r="I55" s="103">
        <f t="shared" si="13"/>
        <v>-192.2</v>
      </c>
      <c r="J55" s="103">
        <f t="shared" si="16"/>
        <v>3.9</v>
      </c>
      <c r="K55" s="103">
        <v>878.65</v>
      </c>
      <c r="L55" s="103">
        <f>F55-K55</f>
        <v>-870.85</v>
      </c>
      <c r="M55" s="108">
        <f t="shared" si="17"/>
        <v>0.00887725487964491</v>
      </c>
      <c r="N55" s="162">
        <f>E55-'січень 17'!E55</f>
        <v>15</v>
      </c>
      <c r="O55" s="166">
        <f>F55-'січень 17'!F55</f>
        <v>0.5300000000000002</v>
      </c>
      <c r="P55" s="105">
        <f t="shared" si="14"/>
        <v>-14.469999999999999</v>
      </c>
      <c r="Q55" s="118">
        <f t="shared" si="11"/>
        <v>3.533333333333335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2260.58</v>
      </c>
      <c r="G57" s="160">
        <f t="shared" si="12"/>
        <v>60.57999999999993</v>
      </c>
      <c r="H57" s="162">
        <f t="shared" si="15"/>
        <v>102.75363636363637</v>
      </c>
      <c r="I57" s="163">
        <f t="shared" si="13"/>
        <v>-5089.42</v>
      </c>
      <c r="J57" s="163">
        <f t="shared" si="16"/>
        <v>30.756190476190476</v>
      </c>
      <c r="K57" s="163">
        <v>722.66</v>
      </c>
      <c r="L57" s="163">
        <f aca="true" t="shared" si="18" ref="L57:L63">F57-K57</f>
        <v>1537.92</v>
      </c>
      <c r="M57" s="216">
        <f t="shared" si="17"/>
        <v>3.128137713447541</v>
      </c>
      <c r="N57" s="162">
        <f>E57-'січень 17'!E57</f>
        <v>600</v>
      </c>
      <c r="O57" s="166">
        <f>F57-'січень 17'!F57</f>
        <v>13.25</v>
      </c>
      <c r="P57" s="165">
        <f t="shared" si="14"/>
        <v>-586.75</v>
      </c>
      <c r="Q57" s="163">
        <f t="shared" si="11"/>
        <v>2.2083333333333335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153.21</v>
      </c>
      <c r="G59" s="160"/>
      <c r="H59" s="162"/>
      <c r="I59" s="163"/>
      <c r="J59" s="163"/>
      <c r="K59" s="164">
        <v>147.3</v>
      </c>
      <c r="L59" s="163">
        <f t="shared" si="18"/>
        <v>5.909999999999997</v>
      </c>
      <c r="M59" s="216">
        <f t="shared" si="17"/>
        <v>1.040122199592668</v>
      </c>
      <c r="N59" s="162">
        <f>E59-'січень 17'!E59</f>
        <v>0</v>
      </c>
      <c r="O59" s="166">
        <f>F59-'січень 17'!F59</f>
        <v>0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1.49</v>
      </c>
      <c r="G62" s="160">
        <f t="shared" si="12"/>
        <v>-1.01</v>
      </c>
      <c r="H62" s="162">
        <f t="shared" si="15"/>
        <v>59.599999999999994</v>
      </c>
      <c r="I62" s="163">
        <f t="shared" si="13"/>
        <v>-13.51</v>
      </c>
      <c r="J62" s="163">
        <f t="shared" si="16"/>
        <v>9.933333333333334</v>
      </c>
      <c r="K62" s="163">
        <v>3.8</v>
      </c>
      <c r="L62" s="163">
        <f t="shared" si="18"/>
        <v>-2.3099999999999996</v>
      </c>
      <c r="M62" s="216">
        <f t="shared" si="17"/>
        <v>0.39210526315789473</v>
      </c>
      <c r="N62" s="162">
        <f>E62-'січень 17'!E62</f>
        <v>1.3</v>
      </c>
      <c r="O62" s="166">
        <f>F62-'січень 17'!F62</f>
        <v>0</v>
      </c>
      <c r="P62" s="165">
        <f t="shared" si="14"/>
        <v>-1.3</v>
      </c>
      <c r="Q62" s="163">
        <f t="shared" si="11"/>
        <v>0</v>
      </c>
      <c r="R62" s="36"/>
      <c r="S62" s="93"/>
      <c r="T62" s="145">
        <f t="shared" si="8"/>
        <v>12.5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>
        <f>E63-'січень 17'!E63</f>
        <v>0</v>
      </c>
      <c r="O63" s="166">
        <f>F63-'січень 17'!F63</f>
        <v>0</v>
      </c>
      <c r="P63" s="165">
        <f t="shared" si="14"/>
        <v>0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102166.30000000002</v>
      </c>
      <c r="G64" s="149">
        <f>F64-E64</f>
        <v>-101855.79999999999</v>
      </c>
      <c r="H64" s="150">
        <f>F64/E64*100</f>
        <v>50.07609469758424</v>
      </c>
      <c r="I64" s="151">
        <f>F64-D64</f>
        <v>-1255324.8</v>
      </c>
      <c r="J64" s="151">
        <f>F64/D64*100</f>
        <v>7.526111957566426</v>
      </c>
      <c r="K64" s="151">
        <v>145343.26</v>
      </c>
      <c r="L64" s="151">
        <f>F64-K64</f>
        <v>-43176.95999999999</v>
      </c>
      <c r="M64" s="217">
        <f>F64/K64</f>
        <v>0.7029311163104502</v>
      </c>
      <c r="N64" s="149">
        <f>N8+N38+N62+N63</f>
        <v>106665.6</v>
      </c>
      <c r="O64" s="149">
        <f>O8+O38+O62+O63</f>
        <v>4080.110000000001</v>
      </c>
      <c r="P64" s="153">
        <f>O64-N64</f>
        <v>-102585.49</v>
      </c>
      <c r="Q64" s="151">
        <f>O64/N64*100</f>
        <v>3.8251413764137645</v>
      </c>
      <c r="R64" s="26">
        <f>O64-34768</f>
        <v>-30687.89</v>
      </c>
      <c r="S64" s="114">
        <f>O64/34768</f>
        <v>0.1173524505292223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0.1</v>
      </c>
      <c r="L73" s="165">
        <f aca="true" t="shared" si="21" ref="L73:L84">F73-K73</f>
        <v>-0.060000000000000005</v>
      </c>
      <c r="M73" s="207">
        <f>F73/K73</f>
        <v>0.39999999999999997</v>
      </c>
      <c r="N73" s="162">
        <f>E73-'січень 17'!E73</f>
        <v>0</v>
      </c>
      <c r="O73" s="166">
        <f>F73-'січень 17'!F73</f>
        <v>0</v>
      </c>
      <c r="P73" s="165">
        <f aca="true" t="shared" si="22" ref="P73:P86">O73-N73</f>
        <v>0</v>
      </c>
      <c r="Q73" s="165" t="e">
        <f>O73/N73*100</f>
        <v>#DIV/0!</v>
      </c>
      <c r="R73" s="37"/>
      <c r="S73" s="96"/>
      <c r="T73" s="145">
        <f t="shared" si="8"/>
        <v>4000</v>
      </c>
      <c r="U73" s="4">
        <v>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1230</v>
      </c>
      <c r="F74" s="179">
        <v>11.69</v>
      </c>
      <c r="G74" s="160">
        <f t="shared" si="19"/>
        <v>-1218.31</v>
      </c>
      <c r="H74" s="162">
        <f>F74/E74*100</f>
        <v>0.9504065040650406</v>
      </c>
      <c r="I74" s="165">
        <f t="shared" si="20"/>
        <v>-7988.31</v>
      </c>
      <c r="J74" s="165">
        <f>F74/D74*100</f>
        <v>0.14612499999999998</v>
      </c>
      <c r="K74" s="165">
        <v>376.67</v>
      </c>
      <c r="L74" s="165">
        <f t="shared" si="21"/>
        <v>-364.98</v>
      </c>
      <c r="M74" s="207">
        <f>F74/K74</f>
        <v>0.03103512358297714</v>
      </c>
      <c r="N74" s="162">
        <f>E74-'січень 17'!E74</f>
        <v>630</v>
      </c>
      <c r="O74" s="166">
        <f>F74-'січень 17'!F74</f>
        <v>9.79</v>
      </c>
      <c r="P74" s="165">
        <f t="shared" si="22"/>
        <v>-620.21</v>
      </c>
      <c r="Q74" s="165">
        <f>O74/N74*100</f>
        <v>1.553968253968254</v>
      </c>
      <c r="R74" s="37"/>
      <c r="S74" s="96"/>
      <c r="T74" s="145">
        <f aca="true" t="shared" si="23" ref="T74:T90">D74-E74</f>
        <v>6770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800</v>
      </c>
      <c r="F75" s="179">
        <v>90.12</v>
      </c>
      <c r="G75" s="160">
        <f t="shared" si="19"/>
        <v>-709.88</v>
      </c>
      <c r="H75" s="162">
        <f>F75/E75*100</f>
        <v>11.265</v>
      </c>
      <c r="I75" s="165">
        <f t="shared" si="20"/>
        <v>-9909.88</v>
      </c>
      <c r="J75" s="165">
        <f>F75/D75*100</f>
        <v>0.9012000000000001</v>
      </c>
      <c r="K75" s="165">
        <v>646.84</v>
      </c>
      <c r="L75" s="165">
        <f t="shared" si="21"/>
        <v>-556.72</v>
      </c>
      <c r="M75" s="207">
        <f>F75/K75</f>
        <v>0.13932348030424835</v>
      </c>
      <c r="N75" s="162">
        <f>E75-'січень 17'!E75</f>
        <v>400</v>
      </c>
      <c r="O75" s="166">
        <f>F75-'січень 17'!F75</f>
        <v>0</v>
      </c>
      <c r="P75" s="165">
        <f t="shared" si="22"/>
        <v>-400</v>
      </c>
      <c r="Q75" s="165">
        <f>O75/N75*100</f>
        <v>0</v>
      </c>
      <c r="R75" s="37"/>
      <c r="S75" s="96"/>
      <c r="T75" s="145">
        <f t="shared" si="23"/>
        <v>9200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1</v>
      </c>
      <c r="G76" s="160">
        <f t="shared" si="19"/>
        <v>-1</v>
      </c>
      <c r="H76" s="162">
        <f>F76/E76*100</f>
        <v>50</v>
      </c>
      <c r="I76" s="165">
        <f t="shared" si="20"/>
        <v>-11</v>
      </c>
      <c r="J76" s="165">
        <f>F76/D76*100</f>
        <v>8.333333333333332</v>
      </c>
      <c r="K76" s="165">
        <v>2</v>
      </c>
      <c r="L76" s="165">
        <f t="shared" si="21"/>
        <v>-1</v>
      </c>
      <c r="M76" s="207"/>
      <c r="N76" s="162">
        <f>E76-'січень 17'!E76</f>
        <v>1</v>
      </c>
      <c r="O76" s="166">
        <f>F76-'січень 17'!F76</f>
        <v>0</v>
      </c>
      <c r="P76" s="165">
        <f t="shared" si="22"/>
        <v>-1</v>
      </c>
      <c r="Q76" s="165">
        <f>O76/N76*100</f>
        <v>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2032</v>
      </c>
      <c r="F77" s="182">
        <f>F73+F74+F75+F76</f>
        <v>102.85000000000001</v>
      </c>
      <c r="G77" s="183">
        <f t="shared" si="19"/>
        <v>-1929.15</v>
      </c>
      <c r="H77" s="184">
        <f>F77/E77*100</f>
        <v>5.061515748031496</v>
      </c>
      <c r="I77" s="185">
        <f t="shared" si="20"/>
        <v>-21909.15</v>
      </c>
      <c r="J77" s="185">
        <f>F77/D77*100</f>
        <v>0.4672451390150827</v>
      </c>
      <c r="K77" s="185">
        <v>1025.62</v>
      </c>
      <c r="L77" s="185">
        <f t="shared" si="21"/>
        <v>-922.7699999999999</v>
      </c>
      <c r="M77" s="212">
        <f>F77/K77</f>
        <v>0.10028080575651803</v>
      </c>
      <c r="N77" s="183">
        <f>N73+N74+N75+N76</f>
        <v>1031</v>
      </c>
      <c r="O77" s="187">
        <f>O73+O74+O75+O76</f>
        <v>9.79</v>
      </c>
      <c r="P77" s="185">
        <f t="shared" si="22"/>
        <v>-1021.21</v>
      </c>
      <c r="Q77" s="185">
        <f>O77/N77*100</f>
        <v>0.9495635305528611</v>
      </c>
      <c r="R77" s="38"/>
      <c r="S77" s="115"/>
      <c r="T77" s="145">
        <f t="shared" si="23"/>
        <v>19980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0.01</v>
      </c>
      <c r="L78" s="165">
        <f t="shared" si="21"/>
        <v>0.33</v>
      </c>
      <c r="M78" s="207">
        <f>F78/K78</f>
        <v>34</v>
      </c>
      <c r="N78" s="162">
        <f>E78-'січень 17'!E78</f>
        <v>0</v>
      </c>
      <c r="O78" s="166">
        <f>F78-'січень 17'!F78</f>
        <v>0</v>
      </c>
      <c r="P78" s="165">
        <f t="shared" si="22"/>
        <v>0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11.59</v>
      </c>
      <c r="G80" s="160">
        <f t="shared" si="19"/>
        <v>-2338.41</v>
      </c>
      <c r="H80" s="162">
        <f>F80/E80*100</f>
        <v>0.49319148936170215</v>
      </c>
      <c r="I80" s="165">
        <f t="shared" si="20"/>
        <v>-8348.41</v>
      </c>
      <c r="J80" s="165">
        <f>F80/D80*100</f>
        <v>0.13863636363636364</v>
      </c>
      <c r="K80" s="165">
        <v>2013.66</v>
      </c>
      <c r="L80" s="165">
        <f t="shared" si="21"/>
        <v>-2002.0700000000002</v>
      </c>
      <c r="M80" s="207"/>
      <c r="N80" s="162">
        <f>E80-'січень 17'!E80</f>
        <v>2342.5</v>
      </c>
      <c r="O80" s="166">
        <f>F80-'січень 17'!F80</f>
        <v>0.10999999999999943</v>
      </c>
      <c r="P80" s="165">
        <f>O80-N80</f>
        <v>-2342.39</v>
      </c>
      <c r="Q80" s="188">
        <f>O80/N80*100</f>
        <v>0.004695837780149388</v>
      </c>
      <c r="R80" s="40"/>
      <c r="S80" s="98"/>
      <c r="T80" s="145">
        <f t="shared" si="23"/>
        <v>6010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>
        <f>E81-'січень 17'!E81</f>
        <v>0</v>
      </c>
      <c r="O81" s="166">
        <f>F81-'січень 17'!F81</f>
        <v>0</v>
      </c>
      <c r="P81" s="165">
        <f t="shared" si="22"/>
        <v>0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11.93</v>
      </c>
      <c r="G82" s="181">
        <f>G78+G81+G79+G80</f>
        <v>-2338.0699999999997</v>
      </c>
      <c r="H82" s="184">
        <f>F82/E82*100</f>
        <v>0.5076595744680851</v>
      </c>
      <c r="I82" s="185">
        <f t="shared" si="20"/>
        <v>-8388.07</v>
      </c>
      <c r="J82" s="185">
        <f>F82/D82*100</f>
        <v>0.14202380952380952</v>
      </c>
      <c r="K82" s="185">
        <v>2013.84</v>
      </c>
      <c r="L82" s="185">
        <f t="shared" si="21"/>
        <v>-2001.9099999999999</v>
      </c>
      <c r="M82" s="218">
        <f t="shared" si="24"/>
        <v>0.005924005879315139</v>
      </c>
      <c r="N82" s="183">
        <f>N78+N81+N79+N80</f>
        <v>2342.5</v>
      </c>
      <c r="O82" s="187">
        <f>O78+O81+O79+O80</f>
        <v>0.10999999999999943</v>
      </c>
      <c r="P82" s="183">
        <f>P78+P81+P79+P80</f>
        <v>-2342.39</v>
      </c>
      <c r="Q82" s="185">
        <f>O82/N82*100</f>
        <v>0.004695837780149388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0.34</v>
      </c>
      <c r="G83" s="160">
        <f t="shared" si="19"/>
        <v>-4.5600000000000005</v>
      </c>
      <c r="H83" s="162">
        <f>F83/E83*100</f>
        <v>6.938775510204081</v>
      </c>
      <c r="I83" s="165">
        <f t="shared" si="20"/>
        <v>-37.66</v>
      </c>
      <c r="J83" s="165">
        <f>F83/D83*100</f>
        <v>0.8947368421052633</v>
      </c>
      <c r="K83" s="165">
        <v>0.69</v>
      </c>
      <c r="L83" s="165">
        <f t="shared" si="21"/>
        <v>-0.3499999999999999</v>
      </c>
      <c r="M83" s="207">
        <f t="shared" si="24"/>
        <v>0.4927536231884059</v>
      </c>
      <c r="N83" s="162">
        <f>E83-'січень 17'!E83</f>
        <v>2.5000000000000004</v>
      </c>
      <c r="O83" s="166">
        <f>F83-'січень 17'!F83</f>
        <v>0</v>
      </c>
      <c r="P83" s="165">
        <f t="shared" si="22"/>
        <v>-2.5000000000000004</v>
      </c>
      <c r="Q83" s="165">
        <f>O83/N83</f>
        <v>0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/>
      <c r="N84" s="162">
        <f>E84-'січень 17'!E84</f>
        <v>0</v>
      </c>
      <c r="O84" s="166">
        <f>F84-'січень 17'!F84</f>
        <v>0</v>
      </c>
      <c r="P84" s="165">
        <f t="shared" si="22"/>
        <v>0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E71+E83+E77+E82+E84</f>
        <v>4386.9</v>
      </c>
      <c r="F85" s="189">
        <f>F71+F83+F77+F82+F84</f>
        <v>126.94</v>
      </c>
      <c r="G85" s="190">
        <f>F85-E85</f>
        <v>-4259.96</v>
      </c>
      <c r="H85" s="191">
        <f>F85/E85*100</f>
        <v>2.8936150812646746</v>
      </c>
      <c r="I85" s="192">
        <f>F85-D85</f>
        <v>-30323.06</v>
      </c>
      <c r="J85" s="192">
        <f>F85/D85*100</f>
        <v>0.4168801313628899</v>
      </c>
      <c r="K85" s="192">
        <v>3039.87</v>
      </c>
      <c r="L85" s="192">
        <f>F85-K85</f>
        <v>-2912.93</v>
      </c>
      <c r="M85" s="219">
        <f t="shared" si="24"/>
        <v>0.041758364666910096</v>
      </c>
      <c r="N85" s="189">
        <f>N71+N83+N77+N82+N84</f>
        <v>3376</v>
      </c>
      <c r="O85" s="189">
        <f>O71+O83+O77+O82+O84</f>
        <v>9.899999999999999</v>
      </c>
      <c r="P85" s="192">
        <f t="shared" si="22"/>
        <v>-3366.1</v>
      </c>
      <c r="Q85" s="192">
        <f>O85/N85*100</f>
        <v>0.2932464454976303</v>
      </c>
      <c r="R85" s="26">
        <f>O85-8104.96</f>
        <v>-8095.06</v>
      </c>
      <c r="S85" s="94">
        <f>O85/8104.96</f>
        <v>0.0012214742577384711</v>
      </c>
      <c r="T85" s="145">
        <f t="shared" si="23"/>
        <v>26063.1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208409</v>
      </c>
      <c r="F86" s="189">
        <f>F64+F85</f>
        <v>102293.24000000002</v>
      </c>
      <c r="G86" s="190">
        <f>F86-E86</f>
        <v>-106115.75999999998</v>
      </c>
      <c r="H86" s="191">
        <f>F86/E86*100</f>
        <v>49.08292828044855</v>
      </c>
      <c r="I86" s="192">
        <f>F86-D86</f>
        <v>-1285647.86</v>
      </c>
      <c r="J86" s="192">
        <f>F86/D86*100</f>
        <v>7.370142724356244</v>
      </c>
      <c r="K86" s="192">
        <f>K64+K85</f>
        <v>148383.13</v>
      </c>
      <c r="L86" s="192">
        <f>F86-K86</f>
        <v>-46089.889999999985</v>
      </c>
      <c r="M86" s="219">
        <f t="shared" si="24"/>
        <v>0.6893859160404556</v>
      </c>
      <c r="N86" s="190">
        <f>N64+N85</f>
        <v>110041.6</v>
      </c>
      <c r="O86" s="190">
        <f>O64+O85</f>
        <v>4090.010000000001</v>
      </c>
      <c r="P86" s="192">
        <f t="shared" si="22"/>
        <v>-105951.59000000001</v>
      </c>
      <c r="Q86" s="192">
        <f>O86/N86*100</f>
        <v>3.7167852884727237</v>
      </c>
      <c r="R86" s="26">
        <f>O86-42872.96</f>
        <v>-38782.95</v>
      </c>
      <c r="S86" s="94">
        <f>O86/42872.96</f>
        <v>0.0953983583125588</v>
      </c>
      <c r="T86" s="145">
        <f t="shared" si="23"/>
        <v>1179532.1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19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>
        <f>IF(P64&lt;0,ABS(P64/C88),0)</f>
        <v>5399.236315789474</v>
      </c>
      <c r="D89" s="4" t="s">
        <v>24</v>
      </c>
      <c r="G89" s="251"/>
      <c r="H89" s="251"/>
      <c r="I89" s="251"/>
      <c r="J89" s="251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42767</v>
      </c>
      <c r="D90" s="28">
        <v>4080.1</v>
      </c>
      <c r="G90" s="4" t="s">
        <v>58</v>
      </c>
      <c r="O90" s="243"/>
      <c r="P90" s="243"/>
      <c r="T90" s="145">
        <f t="shared" si="23"/>
        <v>4080.1</v>
      </c>
    </row>
    <row r="91" spans="3:16" ht="15">
      <c r="C91" s="80">
        <v>42766</v>
      </c>
      <c r="D91" s="28">
        <v>9271.6</v>
      </c>
      <c r="F91" s="112" t="s">
        <v>58</v>
      </c>
      <c r="G91" s="237"/>
      <c r="H91" s="237"/>
      <c r="I91" s="117"/>
      <c r="J91" s="240"/>
      <c r="K91" s="240"/>
      <c r="L91" s="240"/>
      <c r="M91" s="240"/>
      <c r="N91" s="240"/>
      <c r="O91" s="243"/>
      <c r="P91" s="243"/>
    </row>
    <row r="92" spans="3:16" ht="15.75" customHeight="1">
      <c r="C92" s="80">
        <v>42765</v>
      </c>
      <c r="D92" s="28">
        <v>13760.5</v>
      </c>
      <c r="F92" s="67"/>
      <c r="G92" s="237"/>
      <c r="H92" s="237"/>
      <c r="I92" s="117"/>
      <c r="J92" s="244"/>
      <c r="K92" s="244"/>
      <c r="L92" s="244"/>
      <c r="M92" s="244"/>
      <c r="N92" s="244"/>
      <c r="O92" s="243"/>
      <c r="P92" s="243"/>
    </row>
    <row r="93" spans="3:14" ht="15.75" customHeight="1">
      <c r="C93" s="80"/>
      <c r="F93" s="67"/>
      <c r="G93" s="239"/>
      <c r="H93" s="239"/>
      <c r="I93" s="123"/>
      <c r="J93" s="240"/>
      <c r="K93" s="240"/>
      <c r="L93" s="240"/>
      <c r="M93" s="240"/>
      <c r="N93" s="240"/>
    </row>
    <row r="94" spans="2:14" ht="18.75" customHeight="1">
      <c r="B94" s="241" t="s">
        <v>56</v>
      </c>
      <c r="C94" s="242"/>
      <c r="D94" s="132">
        <f>'[1]залишки  (2)'!$G$6/1000</f>
        <v>9.799299999999999</v>
      </c>
      <c r="E94" s="68"/>
      <c r="F94" s="124" t="s">
        <v>105</v>
      </c>
      <c r="G94" s="237"/>
      <c r="H94" s="237"/>
      <c r="I94" s="125"/>
      <c r="J94" s="240"/>
      <c r="K94" s="240"/>
      <c r="L94" s="240"/>
      <c r="M94" s="240"/>
      <c r="N94" s="240"/>
    </row>
    <row r="95" spans="6:13" ht="9.75" customHeight="1">
      <c r="F95" s="67"/>
      <c r="G95" s="237"/>
      <c r="H95" s="237"/>
      <c r="I95" s="67"/>
      <c r="J95" s="68"/>
      <c r="K95" s="68"/>
      <c r="L95" s="68"/>
      <c r="M95" s="68"/>
    </row>
    <row r="96" spans="2:13" ht="22.5" customHeight="1" hidden="1">
      <c r="B96" s="235" t="s">
        <v>59</v>
      </c>
      <c r="C96" s="236"/>
      <c r="D96" s="79">
        <v>0</v>
      </c>
      <c r="E96" s="50" t="s">
        <v>24</v>
      </c>
      <c r="F96" s="67"/>
      <c r="G96" s="237"/>
      <c r="H96" s="237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145.88</v>
      </c>
      <c r="G97" s="67">
        <f>G45+G48+G49</f>
        <v>-26.119999999999997</v>
      </c>
      <c r="H97" s="68"/>
      <c r="I97" s="68"/>
      <c r="N97" s="28">
        <f>N45+N48+N49</f>
        <v>86</v>
      </c>
      <c r="O97" s="200">
        <f>O45+O48+O49</f>
        <v>11.899999999999999</v>
      </c>
      <c r="P97" s="28">
        <f>P45+P48+P49</f>
        <v>-74.1</v>
      </c>
    </row>
    <row r="98" spans="4:16" ht="15" hidden="1">
      <c r="D98" s="77"/>
      <c r="I98" s="28"/>
      <c r="O98" s="238"/>
      <c r="P98" s="23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95775.1</v>
      </c>
      <c r="G99" s="28">
        <f>F99-E99</f>
        <v>-100555.4</v>
      </c>
      <c r="H99" s="228">
        <f>F99/E99</f>
        <v>0.48782588543298167</v>
      </c>
      <c r="I99" s="28">
        <f>F99-D99</f>
        <v>-1203273.5</v>
      </c>
      <c r="J99" s="228">
        <f>F99/D99</f>
        <v>0.07372711074858938</v>
      </c>
      <c r="N99" s="28">
        <f>N9+N15+N17+N18+N19+N20+N39+N42+N44+N56+N62+N63</f>
        <v>101968.6</v>
      </c>
      <c r="O99" s="227">
        <f>O9+O15+O17+O18+O19+O20+O39+O42+O44+O56+O62+O63</f>
        <v>1906.7900000000009</v>
      </c>
      <c r="P99" s="28">
        <f>O99-N99</f>
        <v>-100061.81</v>
      </c>
      <c r="Q99" s="228">
        <f>O99/N99</f>
        <v>0.018699776205616248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6391.2</v>
      </c>
      <c r="G100" s="28">
        <f>G40+G41+G43+G45+G47+G48+G49+G50+G51+G57+G61+G44</f>
        <v>-1300.3999999999999</v>
      </c>
      <c r="H100" s="228">
        <f>F100/E100</f>
        <v>0.8309324457850121</v>
      </c>
      <c r="I100" s="28">
        <f>I40+I41+I43+I45+I47+I48+I49+I50+I51+I57+I61+I44</f>
        <v>-52051.3</v>
      </c>
      <c r="J100" s="228">
        <f>F100/D100</f>
        <v>0.10935877144201565</v>
      </c>
      <c r="K100" s="28">
        <f aca="true" t="shared" si="25" ref="K100:P100">K40+K41+K43+K45+K47+K48+K49+K50+K51+K57+K61+K44</f>
        <v>4835.679999999999</v>
      </c>
      <c r="L100" s="28">
        <f t="shared" si="25"/>
        <v>1555.5200000000007</v>
      </c>
      <c r="M100" s="28">
        <f t="shared" si="25"/>
        <v>9.190050123320745</v>
      </c>
      <c r="N100" s="28">
        <f t="shared" si="25"/>
        <v>4703.8</v>
      </c>
      <c r="O100" s="227">
        <f t="shared" si="25"/>
        <v>2173.32</v>
      </c>
      <c r="P100" s="28">
        <f t="shared" si="25"/>
        <v>-2523.6799999999994</v>
      </c>
      <c r="Q100" s="228">
        <f>O100/N100</f>
        <v>0.462034950465581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102166.3</v>
      </c>
      <c r="G101" s="28">
        <f t="shared" si="26"/>
        <v>-101855.79999999999</v>
      </c>
      <c r="H101" s="228">
        <f>F101/E101</f>
        <v>0.5007609469758423</v>
      </c>
      <c r="I101" s="28">
        <f t="shared" si="26"/>
        <v>-1255324.8</v>
      </c>
      <c r="J101" s="228">
        <f>F101/D101</f>
        <v>0.07526111957566425</v>
      </c>
      <c r="K101" s="28">
        <f t="shared" si="26"/>
        <v>4835.679999999999</v>
      </c>
      <c r="L101" s="28">
        <f t="shared" si="26"/>
        <v>1555.5200000000007</v>
      </c>
      <c r="M101" s="28">
        <f t="shared" si="26"/>
        <v>9.190050123320745</v>
      </c>
      <c r="N101" s="28">
        <f t="shared" si="26"/>
        <v>106672.40000000001</v>
      </c>
      <c r="O101" s="227">
        <f t="shared" si="26"/>
        <v>4080.110000000001</v>
      </c>
      <c r="P101" s="28">
        <f t="shared" si="26"/>
        <v>-102585.48999999999</v>
      </c>
      <c r="Q101" s="228">
        <f>O101/N101</f>
        <v>0.038248975367574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0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-44732.479999999996</v>
      </c>
      <c r="M102" s="28">
        <f t="shared" si="27"/>
        <v>-8.487119007010294</v>
      </c>
      <c r="N102" s="28">
        <f t="shared" si="27"/>
        <v>-6.80000000000291</v>
      </c>
      <c r="O102" s="28">
        <f t="shared" si="27"/>
        <v>0</v>
      </c>
      <c r="P102" s="28">
        <f t="shared" si="27"/>
        <v>0</v>
      </c>
      <c r="Q102" s="28"/>
      <c r="R102" s="28">
        <f t="shared" si="27"/>
        <v>-30687.89</v>
      </c>
      <c r="S102" s="28">
        <f t="shared" si="27"/>
        <v>0.1173524505292223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7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F103" sqref="F103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58" t="s">
        <v>131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85"/>
      <c r="S1" s="86"/>
    </row>
    <row r="2" spans="2:19" s="1" customFormat="1" ht="15.75" customHeight="1">
      <c r="B2" s="259"/>
      <c r="C2" s="259"/>
      <c r="D2" s="259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60"/>
      <c r="B3" s="262"/>
      <c r="C3" s="263" t="s">
        <v>0</v>
      </c>
      <c r="D3" s="264" t="s">
        <v>121</v>
      </c>
      <c r="E3" s="31"/>
      <c r="F3" s="265" t="s">
        <v>26</v>
      </c>
      <c r="G3" s="266"/>
      <c r="H3" s="266"/>
      <c r="I3" s="266"/>
      <c r="J3" s="267"/>
      <c r="K3" s="82"/>
      <c r="L3" s="82"/>
      <c r="M3" s="82"/>
      <c r="N3" s="268" t="s">
        <v>119</v>
      </c>
      <c r="O3" s="269" t="s">
        <v>115</v>
      </c>
      <c r="P3" s="269"/>
      <c r="Q3" s="269"/>
      <c r="R3" s="269"/>
      <c r="S3" s="269"/>
    </row>
    <row r="4" spans="1:19" ht="22.5" customHeight="1">
      <c r="A4" s="260"/>
      <c r="B4" s="262"/>
      <c r="C4" s="263"/>
      <c r="D4" s="264"/>
      <c r="E4" s="270" t="s">
        <v>122</v>
      </c>
      <c r="F4" s="252" t="s">
        <v>33</v>
      </c>
      <c r="G4" s="245" t="s">
        <v>123</v>
      </c>
      <c r="H4" s="254" t="s">
        <v>124</v>
      </c>
      <c r="I4" s="245" t="s">
        <v>125</v>
      </c>
      <c r="J4" s="254" t="s">
        <v>126</v>
      </c>
      <c r="K4" s="84" t="s">
        <v>128</v>
      </c>
      <c r="L4" s="202" t="s">
        <v>111</v>
      </c>
      <c r="M4" s="89" t="s">
        <v>63</v>
      </c>
      <c r="N4" s="254"/>
      <c r="O4" s="256" t="s">
        <v>120</v>
      </c>
      <c r="P4" s="245" t="s">
        <v>49</v>
      </c>
      <c r="Q4" s="247" t="s">
        <v>48</v>
      </c>
      <c r="R4" s="90" t="s">
        <v>64</v>
      </c>
      <c r="S4" s="91" t="s">
        <v>63</v>
      </c>
    </row>
    <row r="5" spans="1:19" ht="67.5" customHeight="1">
      <c r="A5" s="261"/>
      <c r="B5" s="262"/>
      <c r="C5" s="263"/>
      <c r="D5" s="264"/>
      <c r="E5" s="271"/>
      <c r="F5" s="253"/>
      <c r="G5" s="246"/>
      <c r="H5" s="255"/>
      <c r="I5" s="246"/>
      <c r="J5" s="255"/>
      <c r="K5" s="248" t="s">
        <v>129</v>
      </c>
      <c r="L5" s="249"/>
      <c r="M5" s="250"/>
      <c r="N5" s="255"/>
      <c r="O5" s="257"/>
      <c r="P5" s="246"/>
      <c r="Q5" s="247"/>
      <c r="R5" s="248" t="s">
        <v>102</v>
      </c>
      <c r="S5" s="250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153.21</v>
      </c>
      <c r="G59" s="160"/>
      <c r="H59" s="162"/>
      <c r="I59" s="163"/>
      <c r="J59" s="163"/>
      <c r="K59" s="164">
        <v>70.16</v>
      </c>
      <c r="L59" s="163">
        <f t="shared" si="18"/>
        <v>83.05000000000001</v>
      </c>
      <c r="M59" s="216">
        <f t="shared" si="17"/>
        <v>2.1837229190421894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251"/>
      <c r="H89" s="251"/>
      <c r="I89" s="251"/>
      <c r="J89" s="251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243"/>
      <c r="P90" s="243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237"/>
      <c r="H91" s="237"/>
      <c r="I91" s="117"/>
      <c r="J91" s="240"/>
      <c r="K91" s="240"/>
      <c r="L91" s="240"/>
      <c r="M91" s="240"/>
      <c r="N91" s="240"/>
      <c r="O91" s="243"/>
      <c r="P91" s="243"/>
    </row>
    <row r="92" spans="3:16" ht="15.75" customHeight="1">
      <c r="C92" s="80">
        <v>42762</v>
      </c>
      <c r="D92" s="28">
        <v>8862.4</v>
      </c>
      <c r="F92" s="67"/>
      <c r="G92" s="237"/>
      <c r="H92" s="237"/>
      <c r="I92" s="117"/>
      <c r="J92" s="244"/>
      <c r="K92" s="244"/>
      <c r="L92" s="244"/>
      <c r="M92" s="244"/>
      <c r="N92" s="244"/>
      <c r="O92" s="243"/>
      <c r="P92" s="243"/>
    </row>
    <row r="93" spans="3:14" ht="15.75" customHeight="1">
      <c r="C93" s="80"/>
      <c r="F93" s="67"/>
      <c r="G93" s="239"/>
      <c r="H93" s="239"/>
      <c r="I93" s="123"/>
      <c r="J93" s="240"/>
      <c r="K93" s="240"/>
      <c r="L93" s="240"/>
      <c r="M93" s="240"/>
      <c r="N93" s="240"/>
    </row>
    <row r="94" spans="2:14" ht="18.75" customHeight="1">
      <c r="B94" s="241" t="s">
        <v>56</v>
      </c>
      <c r="C94" s="242"/>
      <c r="D94" s="132">
        <f>9505303.41/1000</f>
        <v>9505.30341</v>
      </c>
      <c r="E94" s="68"/>
      <c r="F94" s="124" t="s">
        <v>105</v>
      </c>
      <c r="G94" s="237"/>
      <c r="H94" s="237"/>
      <c r="I94" s="125"/>
      <c r="J94" s="240"/>
      <c r="K94" s="240"/>
      <c r="L94" s="240"/>
      <c r="M94" s="240"/>
      <c r="N94" s="240"/>
    </row>
    <row r="95" spans="6:13" ht="9.75" customHeight="1">
      <c r="F95" s="67"/>
      <c r="G95" s="237"/>
      <c r="H95" s="237"/>
      <c r="I95" s="67"/>
      <c r="J95" s="68"/>
      <c r="K95" s="68"/>
      <c r="L95" s="68"/>
      <c r="M95" s="68"/>
    </row>
    <row r="96" spans="2:13" ht="22.5" customHeight="1" hidden="1">
      <c r="B96" s="235" t="s">
        <v>59</v>
      </c>
      <c r="C96" s="236"/>
      <c r="D96" s="79">
        <v>0</v>
      </c>
      <c r="E96" s="50" t="s">
        <v>24</v>
      </c>
      <c r="F96" s="67"/>
      <c r="G96" s="237"/>
      <c r="H96" s="237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238"/>
      <c r="P98" s="23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2017-02-02T12:20:40Z</cp:lastPrinted>
  <dcterms:created xsi:type="dcterms:W3CDTF">2003-07-28T11:27:56Z</dcterms:created>
  <dcterms:modified xsi:type="dcterms:W3CDTF">2017-02-02T13:35:05Z</dcterms:modified>
  <cp:category/>
  <cp:version/>
  <cp:contentType/>
  <cp:contentStatus/>
</cp:coreProperties>
</file>